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uppe\GIIA4\Steuern\2023\D2 BIENE\"/>
    </mc:Choice>
  </mc:AlternateContent>
  <bookViews>
    <workbookView xWindow="0" yWindow="0" windowWidth="20490" windowHeight="8310" tabRatio="743" activeTab="2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'D2-Meldung'!$A$1:$K$109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62913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G96" i="2"/>
  <c r="G95" i="2" s="1"/>
  <c r="H94" i="2"/>
  <c r="G94" i="2"/>
  <c r="H93" i="2"/>
  <c r="G93" i="2"/>
  <c r="H91" i="2"/>
  <c r="G91" i="2"/>
  <c r="H90" i="2"/>
  <c r="G90" i="2"/>
  <c r="G89" i="2" s="1"/>
  <c r="H88" i="2"/>
  <c r="G88" i="2"/>
  <c r="H87" i="2"/>
  <c r="G87" i="2"/>
  <c r="G86" i="2" s="1"/>
  <c r="H85" i="2"/>
  <c r="G85" i="2"/>
  <c r="H84" i="2"/>
  <c r="G84" i="2"/>
  <c r="H83" i="2"/>
  <c r="G83" i="2"/>
  <c r="H82" i="2"/>
  <c r="G82" i="2"/>
  <c r="H81" i="2"/>
  <c r="G81" i="2"/>
  <c r="H76" i="2"/>
  <c r="G76" i="2"/>
  <c r="D76" i="2" s="1"/>
  <c r="H75" i="2"/>
  <c r="G75" i="2"/>
  <c r="D75" i="2" s="1"/>
  <c r="E73" i="2"/>
  <c r="D73" i="2"/>
  <c r="H70" i="2"/>
  <c r="G70" i="2"/>
  <c r="D70" i="2" s="1"/>
  <c r="E69" i="2"/>
  <c r="D69" i="2"/>
  <c r="E68" i="2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G57" i="2"/>
  <c r="D57" i="2" s="1"/>
  <c r="H55" i="2"/>
  <c r="E55" i="2" s="1"/>
  <c r="G55" i="2"/>
  <c r="H54" i="2"/>
  <c r="E54" i="2" s="1"/>
  <c r="G54" i="2"/>
  <c r="D54" i="2" s="1"/>
  <c r="E53" i="2"/>
  <c r="H53" i="2" s="1"/>
  <c r="D53" i="2"/>
  <c r="E52" i="2"/>
  <c r="D52" i="2"/>
  <c r="E51" i="2"/>
  <c r="D51" i="2"/>
  <c r="H47" i="2"/>
  <c r="E47" i="2" s="1"/>
  <c r="K47" i="2" s="1"/>
  <c r="G47" i="2"/>
  <c r="E46" i="2"/>
  <c r="D46" i="2"/>
  <c r="H43" i="2"/>
  <c r="G43" i="2"/>
  <c r="D43" i="2" s="1"/>
  <c r="H42" i="2"/>
  <c r="E42" i="2" s="1"/>
  <c r="E44" i="2" s="1"/>
  <c r="G42" i="2"/>
  <c r="D42" i="2" s="1"/>
  <c r="E41" i="2"/>
  <c r="D41" i="2"/>
  <c r="H38" i="2"/>
  <c r="E38" i="2" s="1"/>
  <c r="K38" i="2" s="1"/>
  <c r="G38" i="2"/>
  <c r="D38" i="2" s="1"/>
  <c r="J38" i="2" s="1"/>
  <c r="H37" i="2"/>
  <c r="G37" i="2"/>
  <c r="D37" i="2" s="1"/>
  <c r="J37" i="2" s="1"/>
  <c r="H35" i="2"/>
  <c r="E35" i="2" s="1"/>
  <c r="K35" i="2" s="1"/>
  <c r="G35" i="2"/>
  <c r="D35" i="2" s="1"/>
  <c r="J35" i="2" s="1"/>
  <c r="H34" i="2"/>
  <c r="G34" i="2"/>
  <c r="D34" i="2" s="1"/>
  <c r="E33" i="2"/>
  <c r="K33" i="2" s="1"/>
  <c r="D33" i="2"/>
  <c r="E32" i="2"/>
  <c r="D32" i="2"/>
  <c r="E31" i="2"/>
  <c r="D31" i="2"/>
  <c r="E30" i="2"/>
  <c r="D30" i="2"/>
  <c r="E29" i="2"/>
  <c r="E28" i="2" s="1"/>
  <c r="D29" i="2"/>
  <c r="H25" i="2"/>
  <c r="G25" i="2"/>
  <c r="H23" i="2"/>
  <c r="E23" i="2" s="1"/>
  <c r="K23" i="2" s="1"/>
  <c r="G23" i="2"/>
  <c r="H22" i="2"/>
  <c r="G22" i="2"/>
  <c r="H21" i="2"/>
  <c r="E21" i="2" s="1"/>
  <c r="K21" i="2" s="1"/>
  <c r="G21" i="2"/>
  <c r="H20" i="2"/>
  <c r="G20" i="2"/>
  <c r="E19" i="2"/>
  <c r="H19" i="2" s="1"/>
  <c r="D19" i="2"/>
  <c r="E18" i="2"/>
  <c r="D18" i="2"/>
  <c r="E17" i="2"/>
  <c r="E16" i="2" s="1"/>
  <c r="D17" i="2"/>
  <c r="J6" i="2"/>
  <c r="J5" i="2"/>
  <c r="D12" i="2" s="1"/>
  <c r="J4" i="2"/>
  <c r="H109" i="2" s="1"/>
  <c r="K1" i="2"/>
  <c r="K106" i="2"/>
  <c r="H95" i="2"/>
  <c r="H92" i="2"/>
  <c r="H89" i="2"/>
  <c r="H86" i="2"/>
  <c r="K76" i="2"/>
  <c r="E76" i="2"/>
  <c r="E75" i="2"/>
  <c r="H73" i="2"/>
  <c r="G73" i="2"/>
  <c r="K71" i="2"/>
  <c r="E70" i="2"/>
  <c r="G60" i="2"/>
  <c r="E57" i="2"/>
  <c r="D55" i="2"/>
  <c r="G53" i="2"/>
  <c r="G56" i="2" s="1"/>
  <c r="G58" i="2" s="1"/>
  <c r="D50" i="2"/>
  <c r="D47" i="2"/>
  <c r="J46" i="2"/>
  <c r="H46" i="2"/>
  <c r="H48" i="2" s="1"/>
  <c r="G46" i="2"/>
  <c r="E43" i="2"/>
  <c r="H41" i="2"/>
  <c r="G41" i="2"/>
  <c r="E37" i="2"/>
  <c r="K37" i="2" s="1"/>
  <c r="E34" i="2"/>
  <c r="K34" i="2" s="1"/>
  <c r="J33" i="2"/>
  <c r="D28" i="2"/>
  <c r="E25" i="2"/>
  <c r="K25" i="2" s="1"/>
  <c r="D25" i="2"/>
  <c r="J25" i="2" s="1"/>
  <c r="D23" i="2"/>
  <c r="J23" i="2" s="1"/>
  <c r="E22" i="2"/>
  <c r="K22" i="2" s="1"/>
  <c r="D22" i="2"/>
  <c r="J22" i="2" s="1"/>
  <c r="D21" i="2"/>
  <c r="J21" i="2" s="1"/>
  <c r="E20" i="2"/>
  <c r="K20" i="2" s="1"/>
  <c r="D20" i="2"/>
  <c r="J19" i="2"/>
  <c r="E1" i="6"/>
  <c r="K19" i="2" l="1"/>
  <c r="H44" i="2"/>
  <c r="G74" i="2"/>
  <c r="D74" i="2" s="1"/>
  <c r="J34" i="2"/>
  <c r="D36" i="2"/>
  <c r="G48" i="2"/>
  <c r="G44" i="2"/>
  <c r="G109" i="2"/>
  <c r="D16" i="2"/>
  <c r="H24" i="2"/>
  <c r="H26" i="2" s="1"/>
  <c r="E50" i="2"/>
  <c r="H56" i="2"/>
  <c r="H58" i="2" s="1"/>
  <c r="G92" i="2"/>
  <c r="G101" i="2" s="1"/>
  <c r="J106" i="2"/>
  <c r="D56" i="2"/>
  <c r="D58" i="2" s="1"/>
  <c r="E36" i="2"/>
  <c r="J75" i="2"/>
  <c r="J76" i="2"/>
  <c r="H33" i="2"/>
  <c r="H36" i="2" s="1"/>
  <c r="H39" i="2" s="1"/>
  <c r="K60" i="2"/>
  <c r="K66" i="2" s="1"/>
  <c r="J12" i="2"/>
  <c r="J36" i="2"/>
  <c r="J39" i="2" s="1"/>
  <c r="H101" i="2"/>
  <c r="E48" i="2"/>
  <c r="K24" i="2"/>
  <c r="K26" i="2" s="1"/>
  <c r="E56" i="2"/>
  <c r="E58" i="2" s="1"/>
  <c r="K36" i="2"/>
  <c r="K39" i="2" s="1"/>
  <c r="D44" i="2"/>
  <c r="D24" i="2"/>
  <c r="D26" i="2" s="1"/>
  <c r="E39" i="2"/>
  <c r="D48" i="2"/>
  <c r="J47" i="2"/>
  <c r="J48" i="2" s="1"/>
  <c r="E24" i="2"/>
  <c r="E26" i="2" s="1"/>
  <c r="G12" i="2"/>
  <c r="K46" i="2"/>
  <c r="K48" i="2" s="1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J74" i="2" l="1"/>
  <c r="J79" i="2" s="1"/>
  <c r="J107" i="2" s="1"/>
  <c r="D78" i="2"/>
  <c r="D39" i="2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  <c r="C4" i="7"/>
  <c r="C3" i="7"/>
  <c r="C2" i="7"/>
  <c r="C50" i="7" s="1"/>
</calcChain>
</file>

<file path=xl/sharedStrings.xml><?xml version="1.0" encoding="utf-8"?>
<sst xmlns="http://schemas.openxmlformats.org/spreadsheetml/2006/main" count="708" uniqueCount="402">
  <si>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</si>
  <si>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</si>
  <si>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</si>
  <si>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</si>
  <si>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</si>
  <si>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</si>
  <si>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</si>
  <si>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</si>
  <si>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</si>
  <si>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</si>
  <si>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</si>
  <si>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</si>
  <si>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</si>
  <si>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</si>
  <si>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</si>
  <si>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</si>
  <si>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</si>
  <si>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</si>
  <si>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</si>
  <si>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</si>
  <si>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</si>
  <si>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</si>
  <si>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</si>
  <si>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</si>
  <si>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</si>
  <si>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</si>
  <si>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</si>
  <si>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</si>
  <si>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</si>
  <si>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</si>
  <si>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</si>
  <si>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</si>
  <si>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</si>
  <si>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</si>
  <si>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</si>
  <si>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</si>
  <si>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</si>
  <si>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</si>
  <si>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</si>
  <si>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</si>
  <si>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</si>
  <si>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</si>
  <si>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</si>
  <si>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</si>
  <si>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</si>
  <si>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</si>
  <si>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</si>
  <si>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</si>
  <si>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</si>
  <si>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</si>
  <si>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</si>
  <si>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</si>
  <si>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</si>
  <si>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</si>
  <si>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</si>
  <si>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</si>
  <si>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</si>
  <si>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</si>
  <si>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</si>
  <si>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</si>
  <si>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</si>
  <si>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</si>
  <si>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</si>
  <si>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</si>
  <si>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</si>
  <si>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</si>
  <si>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</si>
  <si>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</si>
  <si>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</si>
  <si>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</si>
  <si>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</si>
  <si>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</si>
  <si>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</si>
  <si>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</si>
  <si>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</si>
  <si>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</si>
  <si>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</si>
  <si>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</si>
  <si>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</si>
  <si>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</si>
  <si>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</si>
  <si>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</si>
  <si>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</si>
  <si>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</si>
  <si>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</si>
  <si>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</si>
  <si>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</si>
  <si>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</si>
  <si>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</si>
  <si>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</si>
  <si>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</si>
  <si>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</si>
  <si>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</si>
  <si>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</si>
  <si>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</si>
  <si>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</si>
  <si>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</si>
  <si>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</si>
  <si>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</si>
  <si>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</si>
  <si>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</si>
  <si>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</si>
  <si>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</si>
  <si>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</si>
  <si>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</si>
  <si>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</si>
  <si>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</si>
  <si>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</si>
  <si>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</si>
  <si>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</si>
  <si>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</si>
  <si>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</si>
  <si>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</si>
  <si>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</si>
  <si>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</si>
  <si>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</si>
  <si>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</si>
  <si>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</si>
  <si>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</si>
  <si>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</si>
  <si>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</si>
  <si>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</si>
  <si>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</si>
  <si>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</si>
  <si>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</si>
  <si>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</si>
  <si>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</si>
  <si>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</si>
  <si>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</si>
  <si>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</si>
  <si>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</si>
  <si>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</si>
  <si>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</si>
  <si>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</si>
  <si>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</si>
  <si>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</si>
  <si>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</si>
  <si>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</si>
  <si>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</si>
  <si>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</si>
  <si>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</si>
  <si>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</si>
  <si>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</si>
  <si>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</si>
  <si>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</si>
  <si>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</si>
  <si>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</si>
  <si>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</si>
  <si>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</si>
  <si>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</si>
  <si>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</si>
  <si>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</si>
  <si>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</si>
  <si>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</si>
  <si>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</si>
  <si>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</si>
  <si>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</si>
  <si>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</si>
  <si>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</si>
  <si>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</si>
  <si>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</si>
  <si>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</si>
  <si>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</si>
  <si>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</si>
  <si>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</si>
  <si>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</si>
  <si>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</si>
  <si>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</si>
  <si>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</si>
  <si>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</si>
  <si>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</si>
  <si>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</si>
  <si>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</si>
  <si>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</si>
  <si>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</si>
  <si>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</si>
  <si>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</si>
  <si>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</si>
  <si>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</si>
  <si>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</si>
  <si>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</si>
  <si>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</si>
  <si>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</si>
  <si>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</si>
  <si>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</si>
  <si>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</si>
  <si>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</si>
  <si>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</si>
  <si>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</si>
  <si>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</si>
  <si>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</si>
  <si>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</si>
  <si>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</si>
  <si>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</si>
  <si>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</si>
  <si>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</si>
  <si>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</si>
  <si>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</si>
  <si>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</si>
  <si>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</si>
  <si>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</si>
  <si>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</si>
  <si>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</si>
  <si>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</si>
  <si>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</si>
  <si>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</si>
  <si>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</si>
  <si>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</si>
  <si>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</si>
  <si>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</si>
  <si>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</si>
  <si>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</si>
  <si>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</si>
  <si>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</si>
  <si>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</si>
  <si>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</si>
  <si>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</si>
  <si>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</si>
  <si>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</si>
  <si>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</si>
  <si>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</si>
  <si>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</si>
  <si>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</si>
  <si>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</si>
  <si>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</si>
  <si>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</si>
  <si>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</si>
  <si>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</si>
  <si>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</si>
  <si>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</si>
  <si>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</si>
  <si>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</si>
  <si>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</si>
  <si>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</si>
  <si>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</si>
  <si>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</si>
  <si>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</si>
  <si>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</si>
  <si>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</si>
  <si>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</si>
  <si>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</si>
  <si>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</si>
  <si>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</si>
  <si>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</si>
  <si>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</si>
  <si>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</si>
  <si>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</si>
  <si>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</si>
  <si>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</si>
  <si>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</si>
  <si>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</si>
  <si>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</si>
  <si>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</si>
  <si>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</si>
  <si>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</si>
  <si>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</si>
  <si>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</si>
  <si>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</si>
  <si>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</si>
  <si>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</si>
  <si>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</si>
  <si>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</si>
  <si>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</si>
  <si>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</si>
  <si>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</si>
  <si>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</si>
  <si>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</si>
  <si>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</si>
  <si>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</si>
  <si>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</si>
  <si>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</si>
  <si>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</si>
  <si>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</si>
  <si>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</si>
  <si>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</si>
  <si>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</si>
  <si>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</si>
  <si>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</si>
  <si>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</si>
  <si>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</si>
  <si>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</si>
  <si>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</si>
  <si>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</si>
  <si>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</si>
  <si>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</si>
  <si>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</si>
  <si>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</si>
  <si>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</si>
  <si>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</si>
  <si>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</si>
  <si>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</si>
  <si>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</si>
  <si>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</si>
  <si>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</si>
  <si>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</si>
  <si>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</si>
  <si>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</si>
  <si>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</si>
  <si>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</si>
  <si>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</si>
  <si>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</si>
  <si>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</si>
  <si>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</si>
  <si>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</si>
  <si>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</si>
  <si>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</si>
  <si>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</si>
  <si>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</si>
  <si>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</si>
  <si>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</si>
  <si>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</si>
  <si>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</si>
  <si>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</si>
  <si>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</si>
  <si>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</si>
  <si>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</si>
  <si>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</si>
  <si>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</si>
  <si>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</si>
  <si>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</si>
  <si>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</si>
  <si>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</si>
  <si>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</si>
  <si>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</si>
  <si>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</si>
  <si>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</si>
  <si>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</si>
  <si>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</si>
  <si>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</si>
  <si>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</si>
  <si>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</si>
  <si>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</si>
  <si>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</si>
  <si>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</si>
  <si>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</si>
  <si>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</si>
  <si>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</si>
  <si>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</si>
  <si>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</si>
  <si>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</si>
  <si>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</si>
  <si>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</si>
  <si>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</si>
  <si>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</si>
  <si>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</si>
  <si>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</si>
  <si>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</si>
  <si>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</si>
  <si>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</si>
  <si>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</si>
  <si>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</si>
  <si>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</si>
  <si>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</si>
  <si>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</si>
  <si>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</si>
  <si>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</si>
  <si>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</si>
  <si>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</si>
  <si>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</si>
  <si>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</si>
  <si>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</si>
  <si>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</si>
  <si>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</si>
  <si>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</si>
  <si>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</si>
  <si>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</si>
  <si>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</si>
  <si>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</si>
  <si>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</si>
  <si>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</si>
  <si>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</si>
  <si>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</si>
  <si>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</si>
  <si>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</si>
  <si>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</si>
  <si>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</si>
  <si>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</si>
  <si>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</si>
  <si>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</si>
  <si>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</si>
  <si>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</si>
  <si>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</si>
  <si>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</si>
  <si>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</si>
  <si>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</si>
  <si>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</si>
  <si>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</si>
  <si>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</si>
  <si>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</si>
  <si>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</si>
  <si>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</si>
  <si>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</si>
  <si>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</si>
  <si>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</si>
  <si>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</si>
  <si>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</si>
  <si>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</si>
  <si>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</si>
  <si>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</si>
  <si>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</si>
  <si>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September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</si>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</sst>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"/>
    <numFmt numFmtId="168" formatCode="#,##0.00000000"/>
    <numFmt numFmtId="169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 applyFill="0" applyBorder="0" applyProtection="0"/>
    <xf numFmtId="164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8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8" fontId="4" fillId="0" borderId="124" xfId="0" applyNumberFormat="1" applyFont="1" applyFill="1" applyBorder="1" applyAlignment="1" applyProtection="1">
      <alignment vertical="center"/>
    </xf>
    <xf numFmtId="167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9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9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5" fontId="3" fillId="2" borderId="26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6" fontId="4" fillId="0" borderId="24" xfId="0" applyNumberFormat="1" applyFont="1" applyBorder="1" applyAlignment="1" applyProtection="1">
      <alignment horizontal="center" vertical="center"/>
    </xf>
    <xf numFmtId="165" fontId="3" fillId="0" borderId="29" xfId="0" applyNumberFormat="1" applyFont="1" applyBorder="1" applyAlignment="1" applyProtection="1">
      <alignment vertical="center"/>
    </xf>
    <xf numFmtId="165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6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6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6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6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6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6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6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6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6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6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6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6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6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6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9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5" fontId="29" fillId="2" borderId="27" xfId="0" applyNumberFormat="1" applyFont="1" applyFill="1" applyBorder="1" applyAlignment="1" applyProtection="1">
      <alignment vertical="center"/>
    </xf>
    <xf numFmtId="165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6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6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6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6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H22" sqref="H22"/>
    </sheetView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45201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September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September</v>
      </c>
      <c r="E12" s="44" t="s">
        <v>200</v>
      </c>
      <c r="F12" s="45"/>
      <c r="G12" s="43" t="str">
        <f>J5</f>
        <v>September</v>
      </c>
      <c r="H12" s="44" t="s">
        <v>200</v>
      </c>
      <c r="I12" s="45"/>
      <c r="J12" s="43" t="str">
        <f>J5</f>
        <v>September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1140205385.02</v>
      </c>
      <c r="E16" s="229">
        <f>SUM(E17:E19)</f>
        <v>11092595229.860001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13921</v>
      </c>
      <c r="E17" s="236">
        <f>'Werteliste-BIENE'!E7+'Werteliste-manuell'!F7</f>
        <v>343723.65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11113.65</v>
      </c>
      <c r="E18" s="244">
        <f>'Werteliste-BIENE'!E8</f>
        <v>74653570.129999995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1140180350.3699999</v>
      </c>
      <c r="E19" s="247">
        <f>'Werteliste-BIENE'!E9+'Werteliste-manuell'!F8</f>
        <v>11017597936.08</v>
      </c>
      <c r="F19" s="248"/>
      <c r="G19" s="249">
        <f>ROUND($F$15/100*D19,2)</f>
        <v>484576648.91000003</v>
      </c>
      <c r="H19" s="250">
        <f>ROUND($F$15/100*E19,2)</f>
        <v>4682479122.8299999</v>
      </c>
      <c r="I19" s="227"/>
      <c r="J19" s="251">
        <f>D19*15/100</f>
        <v>171027052.5555</v>
      </c>
      <c r="K19" s="250">
        <f>E19*15/100</f>
        <v>1652639690.4120002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-191142342.34999999</v>
      </c>
      <c r="E20" s="238">
        <f>ROUND(H20/$F$15*100,2)</f>
        <v>-1486635682.05</v>
      </c>
      <c r="F20" s="233"/>
      <c r="G20" s="235">
        <f>'Werteliste-manuell'!E9</f>
        <v>-81235495.5</v>
      </c>
      <c r="H20" s="252">
        <f>'Werteliste-manuell'!F9</f>
        <v>-631820164.86999989</v>
      </c>
      <c r="I20" s="240"/>
      <c r="J20" s="241">
        <f>D20*15/100</f>
        <v>-28671351.352499999</v>
      </c>
      <c r="K20" s="242">
        <f>E20*15/100</f>
        <v>-222995352.3075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0</v>
      </c>
      <c r="E21" s="238">
        <f t="shared" si="0"/>
        <v>-55700071.25</v>
      </c>
      <c r="F21" s="233"/>
      <c r="G21" s="243">
        <f>'Werteliste-manuell'!E10</f>
        <v>0</v>
      </c>
      <c r="H21" s="252">
        <f>'Werteliste-manuell'!F10</f>
        <v>-23672530.279999997</v>
      </c>
      <c r="I21" s="240"/>
      <c r="J21" s="241">
        <f>D21*15/100</f>
        <v>0</v>
      </c>
      <c r="K21" s="242">
        <f t="shared" ref="K21:K23" si="1">E21*15/100</f>
        <v>-8355010.6875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1213301.8799999999</v>
      </c>
      <c r="E22" s="238">
        <f t="shared" si="0"/>
        <v>10950201.550000001</v>
      </c>
      <c r="F22" s="233"/>
      <c r="G22" s="243">
        <f>'Werteliste-manuell'!E11</f>
        <v>515653.30000000005</v>
      </c>
      <c r="H22" s="252">
        <f>'Werteliste-manuell'!F11</f>
        <v>4653835.66</v>
      </c>
      <c r="I22" s="240"/>
      <c r="J22" s="241">
        <f>D22*15/100</f>
        <v>181995.28200000001</v>
      </c>
      <c r="K22" s="242">
        <f t="shared" si="1"/>
        <v>1642530.2324999999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950251309.89999986</v>
      </c>
      <c r="E24" s="254">
        <f>SUM(E19:E23)</f>
        <v>9486212384.3299999</v>
      </c>
      <c r="F24" s="233"/>
      <c r="G24" s="231">
        <f>SUM(G19:G23)</f>
        <v>403856806.71000004</v>
      </c>
      <c r="H24" s="232">
        <f>SUM(H19:H23)</f>
        <v>4031640263.3399997</v>
      </c>
      <c r="I24" s="255"/>
      <c r="J24" s="234">
        <f>SUM(J19:J23)</f>
        <v>142537696.48500001</v>
      </c>
      <c r="K24" s="232">
        <f>SUM(K19:K23)</f>
        <v>1422931857.6495004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0</v>
      </c>
      <c r="E25" s="238">
        <f t="shared" ref="E25" si="2">ROUND(H25/$F$15*100,2)</f>
        <v>-1035658464.65</v>
      </c>
      <c r="F25" s="233"/>
      <c r="G25" s="243">
        <f>'Werteliste-manuell'!E13</f>
        <v>0</v>
      </c>
      <c r="H25" s="252">
        <f>'Werteliste-manuell'!F13</f>
        <v>-440154847.47775</v>
      </c>
      <c r="I25" s="240"/>
      <c r="J25" s="241">
        <f>D25*15/100</f>
        <v>0</v>
      </c>
      <c r="K25" s="242">
        <f>E25*15/100</f>
        <v>-155348769.69749999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950251309.89999986</v>
      </c>
      <c r="E26" s="257">
        <f>SUM(E24:E25)</f>
        <v>8450553919.6800003</v>
      </c>
      <c r="F26" s="258"/>
      <c r="G26" s="257">
        <f>SUM(G24:G25)</f>
        <v>403856806.71000004</v>
      </c>
      <c r="H26" s="259">
        <f>SUM(H24:H25)</f>
        <v>3591485415.8622499</v>
      </c>
      <c r="I26" s="258"/>
      <c r="J26" s="260">
        <f>SUM(J24:J25)</f>
        <v>142537696.48500001</v>
      </c>
      <c r="K26" s="261">
        <f>SUM(K24:K25)</f>
        <v>1267583087.9520004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767336138.91999996</v>
      </c>
      <c r="E28" s="229">
        <f>SUM(E29:E33)</f>
        <v>2931668740.9299998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0</v>
      </c>
      <c r="E29" s="243">
        <f>'Werteliste-BIENE'!E10</f>
        <v>1022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-29.98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62812990.509999998</v>
      </c>
      <c r="E31" s="243">
        <f>'Werteliste-BIENE'!E12</f>
        <v>525235286.72000003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100497.13</v>
      </c>
      <c r="E32" s="243">
        <f>'Werteliste-BIENE'!E13</f>
        <v>388528.38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704422651.27999997</v>
      </c>
      <c r="E33" s="246">
        <f>'Werteliste-BIENE'!E14</f>
        <v>2406043933.8099999</v>
      </c>
      <c r="F33" s="227"/>
      <c r="G33" s="249">
        <f>ROUND(D33*$F$27/100,2)</f>
        <v>299379626.79000002</v>
      </c>
      <c r="H33" s="249">
        <f>ROUND(E33*$F$27/100,2)</f>
        <v>1022568671.87</v>
      </c>
      <c r="I33" s="227"/>
      <c r="J33" s="251">
        <f t="shared" ref="J33:K35" si="3">D33*15/100</f>
        <v>105663397.69199999</v>
      </c>
      <c r="K33" s="250">
        <f>E33*15/100</f>
        <v>360906590.0715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334780.99</v>
      </c>
      <c r="E34" s="238">
        <f>ROUND(H34/$F$27*100,2)</f>
        <v>3512553.46</v>
      </c>
      <c r="F34" s="265"/>
      <c r="G34" s="243">
        <f>'Werteliste-manuell'!E14</f>
        <v>142281.92000000001</v>
      </c>
      <c r="H34" s="252">
        <f>'Werteliste-manuell'!F14</f>
        <v>1492835.2200000002</v>
      </c>
      <c r="I34" s="265"/>
      <c r="J34" s="241">
        <f t="shared" si="3"/>
        <v>50217.148499999996</v>
      </c>
      <c r="K34" s="242">
        <f t="shared" si="3"/>
        <v>526883.01899999997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667001.86</v>
      </c>
      <c r="F35" s="265"/>
      <c r="G35" s="243">
        <f>'Werteliste-manuell'!E15</f>
        <v>0</v>
      </c>
      <c r="H35" s="252">
        <f>'Werteliste-manuell'!F15</f>
        <v>283475.78999999998</v>
      </c>
      <c r="I35" s="265"/>
      <c r="J35" s="241">
        <f t="shared" si="3"/>
        <v>0</v>
      </c>
      <c r="K35" s="242">
        <f>E35*15/100</f>
        <v>100050.27900000001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704757432.26999998</v>
      </c>
      <c r="E36" s="254">
        <f>SUM(E33:E35)</f>
        <v>2410223489.1300001</v>
      </c>
      <c r="F36" s="233"/>
      <c r="G36" s="231">
        <f>SUM(G33:G35)</f>
        <v>299521908.71000004</v>
      </c>
      <c r="H36" s="232">
        <f>SUM(H33:H35)</f>
        <v>1024344982.88</v>
      </c>
      <c r="I36" s="255"/>
      <c r="J36" s="234">
        <f>SUM(J33:J35)</f>
        <v>105713614.84049998</v>
      </c>
      <c r="K36" s="232">
        <f>SUM(K33:K35)</f>
        <v>361533523.36949998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704757432.26999998</v>
      </c>
      <c r="E39" s="267">
        <f>SUM(E36:E38)</f>
        <v>2410223489.1300001</v>
      </c>
      <c r="F39" s="268"/>
      <c r="G39" s="269">
        <f>SUM(G36:G38)</f>
        <v>299521908.71000004</v>
      </c>
      <c r="H39" s="259">
        <f>SUM(H36:H38)</f>
        <v>1024344982.88</v>
      </c>
      <c r="I39" s="268"/>
      <c r="J39" s="270">
        <f>SUM(J36:J38)</f>
        <v>105713614.84049998</v>
      </c>
      <c r="K39" s="261">
        <f>SUM(K36:K38)</f>
        <v>361533523.36949998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52700889.899999999</v>
      </c>
      <c r="E41" s="277">
        <f>'Werteliste-BIENE'!E15</f>
        <v>747197342.33000004</v>
      </c>
      <c r="F41" s="265"/>
      <c r="G41" s="249">
        <f>ROUND($F$40/100*D41,2)</f>
        <v>26350444.949999999</v>
      </c>
      <c r="H41" s="249">
        <f>ROUND($F$40/100*E41,2)</f>
        <v>373598671.17000002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320383.46999999997</v>
      </c>
      <c r="E42" s="278">
        <f t="shared" ref="E42" si="6">ROUND(H42/$F$40*100,2)</f>
        <v>52437224.960000001</v>
      </c>
      <c r="F42" s="265"/>
      <c r="G42" s="243">
        <f>'Werteliste-manuell'!E18</f>
        <v>160191.73500000002</v>
      </c>
      <c r="H42" s="252">
        <f>'Werteliste-manuell'!F18</f>
        <v>26218612.480000004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-4092442.18</v>
      </c>
      <c r="E43" s="278">
        <f>ROUND(H43/$F$40*100,2)</f>
        <v>-19147331.120000001</v>
      </c>
      <c r="F43" s="265"/>
      <c r="G43" s="243">
        <f>'Werteliste-manuell'!E19</f>
        <v>-2046221.09</v>
      </c>
      <c r="H43" s="252">
        <f>'Werteliste-manuell'!F19</f>
        <v>-9573665.5600000005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48928831.189999998</v>
      </c>
      <c r="E44" s="267">
        <f>SUM(E41:E43)</f>
        <v>780487236.17000008</v>
      </c>
      <c r="F44" s="268"/>
      <c r="G44" s="269">
        <f>SUM(G41:G43)</f>
        <v>24464415.594999999</v>
      </c>
      <c r="H44" s="269">
        <f>SUM(H41:H43)</f>
        <v>390243618.09000003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16843309.07</v>
      </c>
      <c r="E46" s="277">
        <f>'Werteliste-BIENE'!E16</f>
        <v>142383087.33000001</v>
      </c>
      <c r="F46" s="265"/>
      <c r="G46" s="249">
        <f>ROUND($F$45/100*D46,2)</f>
        <v>7411055.9900000002</v>
      </c>
      <c r="H46" s="250">
        <f>ROUND($F$45/100*E46,2)</f>
        <v>62648558.43</v>
      </c>
      <c r="I46" s="265"/>
      <c r="J46" s="280">
        <f>D46*12/100</f>
        <v>2021197.0884</v>
      </c>
      <c r="K46" s="281">
        <f>E46*12/100</f>
        <v>17085970.479600001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0</v>
      </c>
      <c r="E47" s="278">
        <f>ROUND(H47/$F$45*100,2)</f>
        <v>77712371.980000004</v>
      </c>
      <c r="F47" s="265"/>
      <c r="G47" s="243">
        <f>'Werteliste-manuell'!E20</f>
        <v>0</v>
      </c>
      <c r="H47" s="252">
        <f>'Werteliste-manuell'!F20</f>
        <v>34193443.669429876</v>
      </c>
      <c r="I47" s="534"/>
      <c r="J47" s="280">
        <f>D47*12/100</f>
        <v>0</v>
      </c>
      <c r="K47" s="281">
        <f>E47*12/100</f>
        <v>9325484.6375999991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16843309.07</v>
      </c>
      <c r="E48" s="257">
        <f>SUM(E46,E47)</f>
        <v>220095459.31</v>
      </c>
      <c r="F48" s="268"/>
      <c r="G48" s="257">
        <f>SUM(G46,G47)</f>
        <v>7411055.9900000002</v>
      </c>
      <c r="H48" s="261">
        <f>SUM(H46,H47)</f>
        <v>96842002.099429876</v>
      </c>
      <c r="I48" s="268"/>
      <c r="J48" s="260">
        <f>SUM(J46,J47)</f>
        <v>2021197.0884</v>
      </c>
      <c r="K48" s="261">
        <f>SUM(K46,K47)</f>
        <v>26411455.117200002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480715099.09999996</v>
      </c>
      <c r="E50" s="287">
        <f>SUM(E51:E53)</f>
        <v>2058217114.52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3691053.95</v>
      </c>
      <c r="E52" s="243">
        <f>'Werteliste-BIENE'!E18</f>
        <v>24854818.190000001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477024045.14999998</v>
      </c>
      <c r="E53" s="291">
        <f>'Werteliste-BIENE'!E19</f>
        <v>2033362296.3299999</v>
      </c>
      <c r="F53" s="288"/>
      <c r="G53" s="292">
        <f>ROUND(D53*$F$49/100,2)</f>
        <v>238512022.58000001</v>
      </c>
      <c r="H53" s="292">
        <f>ROUND(E53*$F$49/100,2)</f>
        <v>1016681148.17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477024045.14999998</v>
      </c>
      <c r="E56" s="284">
        <f>SUM(E53:E55)</f>
        <v>2033362296.3299999</v>
      </c>
      <c r="F56" s="288"/>
      <c r="G56" s="285">
        <f>SUM(G53:G55)</f>
        <v>238512022.58000001</v>
      </c>
      <c r="H56" s="296">
        <f>SUM(H53:H55)</f>
        <v>1016681148.17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0</v>
      </c>
      <c r="E57" s="278">
        <f>ROUND(H57/$F$49*100,2)</f>
        <v>-91285730</v>
      </c>
      <c r="F57" s="265"/>
      <c r="G57" s="243">
        <f>'Werteliste-manuell'!E23</f>
        <v>0</v>
      </c>
      <c r="H57" s="252">
        <f>'Werteliste-manuell'!F23</f>
        <v>-45642865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477024045.14999998</v>
      </c>
      <c r="E58" s="257">
        <f>SUM(E56:E57)</f>
        <v>1942076566.3299999</v>
      </c>
      <c r="F58" s="268"/>
      <c r="G58" s="269">
        <f>SUM(G56:G57)</f>
        <v>238512022.58000001</v>
      </c>
      <c r="H58" s="300">
        <f>SUM(H56:H57)</f>
        <v>971038283.16999996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938565580.01999998</v>
      </c>
      <c r="E60" s="306">
        <f>'Werteliste-BIENE'!E20</f>
        <v>7323241171.7299995</v>
      </c>
      <c r="F60" s="307">
        <f>'Werteliste-BIENE'!D66</f>
        <v>45.190072540000003</v>
      </c>
      <c r="G60" s="308">
        <f>D60*$F$60/100</f>
        <v>424138466.44650978</v>
      </c>
      <c r="H60" s="309">
        <f>E60*$F$60/100</f>
        <v>3309377997.7839332</v>
      </c>
      <c r="I60" s="310">
        <f>'Werteliste-BIENE'!D67</f>
        <v>1.99594395</v>
      </c>
      <c r="J60" s="311">
        <f>D60*$I$60/100</f>
        <v>18733242.911191598</v>
      </c>
      <c r="K60" s="312">
        <f>E60*$I$60/100</f>
        <v>146167789.11105403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292025139.79795861</v>
      </c>
      <c r="H61" s="315">
        <f>$E$60*($F$61/100)</f>
        <v>2278552050.5696025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23339775.109999999</v>
      </c>
      <c r="H63" s="252">
        <f>'Werteliste-manuell'!F24</f>
        <v>-219905796.24000001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43771502.216196351</v>
      </c>
      <c r="H64" s="252">
        <f>'Werteliste-manuell'!F25</f>
        <v>275387919.35666382</v>
      </c>
      <c r="I64" s="265"/>
      <c r="J64" s="243">
        <f>'Werteliste-manuell'!E27</f>
        <v>7948037.1999999993</v>
      </c>
      <c r="K64" s="252">
        <f>'Werteliste-manuell'!F27</f>
        <v>71532334.800000012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134177451.04583043</v>
      </c>
      <c r="H65" s="324">
        <f>'Werteliste-manuell'!F26</f>
        <v>1211754154.8240366</v>
      </c>
      <c r="I65" s="322"/>
      <c r="J65" s="323">
        <f>'Werteliste-manuell'!E28</f>
        <v>2242673.1646431983</v>
      </c>
      <c r="K65" s="325">
        <f>'Werteliste-manuell'!F28</f>
        <v>28353683.13592349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917452334.61649513</v>
      </c>
      <c r="H66" s="269">
        <f>SUM(H60:H65)</f>
        <v>6855166326.2942362</v>
      </c>
      <c r="I66" s="327"/>
      <c r="J66" s="269">
        <f>SUM(J60:J65)</f>
        <v>28923953.275834795</v>
      </c>
      <c r="K66" s="300">
        <f>SUM(K60:K65)</f>
        <v>246053807.04697752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0</v>
      </c>
      <c r="E68" s="306">
        <f>IF(ISBLANK('Werteliste-manuell'!F29)=TRUE,'Werteliste-BIENE'!E21,'Werteliste-manuell'!F29)</f>
        <v>139256892.66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0</v>
      </c>
      <c r="E69" s="330">
        <f>IF(ISBLANK('Werteliste-manuell'!F30)=TRUE,'Werteliste-BIENE'!E22,'Werteliste-manuell'!F30)</f>
        <v>57692141.240000002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0</v>
      </c>
      <c r="E70" s="335">
        <f>H70</f>
        <v>81564751.420000002</v>
      </c>
      <c r="F70" s="265"/>
      <c r="G70" s="305">
        <f>IF(ISBLANK('Werteliste-manuell'!E31)=TRUE,'Werteliste-BIENE'!D23,'Werteliste-manuell'!E31)</f>
        <v>0</v>
      </c>
      <c r="H70" s="336">
        <f>IF(ISBLANK('Werteliste-manuell'!F31)=TRUE,'Werteliste-BIENE'!E23,'Werteliste-manuell'!F31)</f>
        <v>81564751.420000002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0</v>
      </c>
      <c r="K71" s="344">
        <f>-E68</f>
        <v>-139256892.66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3330071606.7799997</v>
      </c>
      <c r="E78" s="380">
        <f>E19+E36+E41+E46+E53+E60+E68+E73+E74</f>
        <v>23813262215.59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1891218544.2014952</v>
      </c>
      <c r="H79" s="390">
        <f>H26+H39+H44+H48+H58+H66+H70+H73+H74</f>
        <v>13010685379.815916</v>
      </c>
      <c r="I79" s="391"/>
      <c r="J79" s="392">
        <f>J26+J39+J48+J66+J71+J74</f>
        <v>279196461.68973482</v>
      </c>
      <c r="K79" s="390">
        <f>K26+K39+K48+K66+K71+K74</f>
        <v>1762324980.8256776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-122.01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34344149.07</v>
      </c>
      <c r="H82" s="399">
        <f>IF(ISBLANK('Werteliste-manuell'!F34)=TRUE,'Werteliste-BIENE'!E28,'Werteliste-manuell'!F34)</f>
        <v>439604364.01999998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52122741.770000003</v>
      </c>
      <c r="H83" s="336">
        <f>'Werteliste-BIENE'!E29+('Werteliste-BIENE'!E30*(7/3))+'Werteliste-manuell'!F35</f>
        <v>774358508.72000003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184748.36</v>
      </c>
      <c r="H84" s="399">
        <f>'Werteliste-BIENE'!E31</f>
        <v>1085707.75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5298078.1900000004</v>
      </c>
      <c r="H86" s="232">
        <f>SUM(H87:H88)</f>
        <v>44434816.679999992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5286918.99</v>
      </c>
      <c r="H87" s="586">
        <f>'Werteliste-BIENE'!E33+'Werteliste-manuell'!F36</f>
        <v>44202463.819999993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11159.2</v>
      </c>
      <c r="H88" s="586">
        <f>'Werteliste-manuell'!F38</f>
        <v>232352.86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4334572.04</v>
      </c>
      <c r="H89" s="232">
        <f>SUM(H90:H91)</f>
        <v>14762346.379999999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6546.98</v>
      </c>
      <c r="H90" s="592">
        <f>IF(ISBLANK('Werteliste-BIENE'!E35)=TRUE,'Werteliste-BIENE'!E34-'Werteliste-manuell'!F40-'Werteliste-manuell'!F42,'Werteliste-BIENE'!E35)</f>
        <v>55447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4328025.0599999996</v>
      </c>
      <c r="H91" s="595">
        <f>'Werteliste-manuell'!F39</f>
        <v>14706899.379999999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200547.51</v>
      </c>
      <c r="H92" s="232">
        <f>SUM(H93:H94)</f>
        <v>1083372.3899999999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200547.51</v>
      </c>
      <c r="H94" s="595">
        <f>'Werteliste-manuell'!F41</f>
        <v>1083372.3899999999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669881.82000000007</v>
      </c>
      <c r="H95" s="232">
        <f>SUM(H96:H97)</f>
        <v>7388429.5199999996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553375.42000000004</v>
      </c>
      <c r="H96" s="592">
        <f>IF(ISBLANK('Werteliste-BIENE'!E37)=TRUE,'Werteliste-manuell'!F42,'Werteliste-BIENE'!E37)</f>
        <v>4922117.88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116506.4</v>
      </c>
      <c r="H97" s="597">
        <f>'Werteliste-manuell'!F43</f>
        <v>2466311.64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1758545.5</v>
      </c>
      <c r="H98" s="404">
        <f>'Werteliste-manuell'!F44+'Werteliste-manuell'!F45</f>
        <v>18635403.759999998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1188189.1399999999</v>
      </c>
      <c r="H99" s="406">
        <f>'Werteliste-manuell'!F46</f>
        <v>9775748.1900000013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100101453.40000001</v>
      </c>
      <c r="H101" s="419">
        <f>H81+H82+H83+H84+H85+H86+H89+H92+H95+H98+H99+H100</f>
        <v>1311128575.4000003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7210861.2300000004</v>
      </c>
      <c r="K103" s="404">
        <f>'Werteliste-BIENE'!E39</f>
        <v>674129903.67999995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47226449.369999997</v>
      </c>
      <c r="K104" s="406">
        <f>'Werteliste-BIENE'!E40</f>
        <v>2268340799.5300002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12502603.25</v>
      </c>
      <c r="K105" s="429">
        <f>'Werteliste-BIENE'!E41</f>
        <v>93995565.709999993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66939913.849999994</v>
      </c>
      <c r="K106" s="419">
        <f>SUM(K103:K105)</f>
        <v>3036466268.9200001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1991319997.6014953</v>
      </c>
      <c r="H107" s="419">
        <f>H79+H101+H106</f>
        <v>14321813955.215916</v>
      </c>
      <c r="I107" s="438"/>
      <c r="J107" s="439">
        <f>J79+J101+J106</f>
        <v>346136375.53973484</v>
      </c>
      <c r="K107" s="440">
        <f>K79+K101+K106</f>
        <v>4798791249.7456779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1991319997.6014953</v>
      </c>
      <c r="H110" s="419">
        <f>H107+H109</f>
        <v>14321813955.215916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2735646.35</v>
      </c>
      <c r="H113" s="461">
        <f>'Werteliste-BIENE'!E42+'Werteliste-manuell'!F47</f>
        <v>23303854.670000002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868485269.13</v>
      </c>
      <c r="E115" s="470">
        <f>IF(ISBLANK('Werteliste-manuell'!F49)=TRUE,'Werteliste-BIENE'!E43,'Werteliste-manuell'!F49)</f>
        <v>12904379070.24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view="pageBreakPreview" zoomScaleNormal="100" zoomScaleSheetLayoutView="100" workbookViewId="0">
      <pane xSplit="3" ySplit="6" topLeftCell="D49" activePane="bottomRight" state="frozen"/>
      <selection activeCell="C45" sqref="C45"/>
      <selection pane="topRight" activeCell="C45" sqref="C45"/>
      <selection pane="bottomLeft" activeCell="C45" sqref="C45"/>
      <selection pane="bottomRight" activeCell="D7" sqref="D7:D63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45201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13921</v>
      </c>
      <c r="E7" s="201">
        <v>343723.65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11113.65</v>
      </c>
      <c r="E8" s="201">
        <v>74653570.129999995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1140180350.3699999</v>
      </c>
      <c r="E9" s="203">
        <v>11017597936.08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0</v>
      </c>
      <c r="E10" s="201">
        <v>1022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0</v>
      </c>
      <c r="E11" s="201">
        <v>-29.98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62812990.509999998</v>
      </c>
      <c r="E12" s="201">
        <v>525235286.72000003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100497.13</v>
      </c>
      <c r="E13" s="201">
        <v>388528.38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704422651.27999997</v>
      </c>
      <c r="E14" s="203">
        <v>2406043933.8099999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52700889.899999999</v>
      </c>
      <c r="E15" s="203">
        <v>747197342.33000004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16843309.07</v>
      </c>
      <c r="E16" s="203">
        <v>142383087.33000001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3691053.95</v>
      </c>
      <c r="E18" s="201">
        <v>24854818.190000001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477024045.14999998</v>
      </c>
      <c r="E19" s="203">
        <v>2033362296.3299999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938565580.01999998</v>
      </c>
      <c r="E20" s="203">
        <v>7323241171.7299995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0</v>
      </c>
      <c r="E27" s="201">
        <v>-122.01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34344149.07</v>
      </c>
      <c r="E28" s="201">
        <v>439604364.01999998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52122741.770000003</v>
      </c>
      <c r="E29" s="201">
        <v>774358508.72000003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184748.36</v>
      </c>
      <c r="E31" s="201">
        <v>1085707.75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5144279.5</v>
      </c>
      <c r="E33" s="201">
        <v>42771922.159999996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6546.98</v>
      </c>
      <c r="E35" s="201">
        <v>55447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553375.42000000004</v>
      </c>
      <c r="E37" s="201">
        <v>4922117.88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7210861.2300000004</v>
      </c>
      <c r="E39" s="201">
        <v>674129903.67999995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47226449.369999997</v>
      </c>
      <c r="E40" s="201">
        <v>2268340799.5300002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12502603.25</v>
      </c>
      <c r="E41" s="203">
        <v>93995565.709999993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2735646.35</v>
      </c>
      <c r="E42" s="201">
        <v>23303854.670000002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868485269.13</v>
      </c>
      <c r="E43" s="203">
        <v>12904379070.24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262955</v>
      </c>
      <c r="E44" s="201">
        <v>3504862.72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43825.919999999998</v>
      </c>
      <c r="E45" s="201">
        <v>584144.88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43825.919999999998</v>
      </c>
      <c r="E46" s="205">
        <v>584144.88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125353.79</v>
      </c>
      <c r="E47" s="201">
        <v>1515122.5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85657.32</v>
      </c>
      <c r="E48" s="201">
        <v>555862.17000000004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11479.4</v>
      </c>
      <c r="E49" s="201">
        <v>344169.41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149099.43</v>
      </c>
      <c r="E50" s="201">
        <v>1001485.08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-0.04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715240.61</v>
      </c>
      <c r="E54" s="201">
        <v>12941509.550000001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569767.37</v>
      </c>
      <c r="E55" s="201">
        <v>6917158.3799999999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227846.31</v>
      </c>
      <c r="E56" s="201">
        <v>5998692.9500000002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1089107.76</v>
      </c>
      <c r="E58" s="207">
        <v>26094998.030000001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2113864.4700000002</v>
      </c>
      <c r="E59" s="201">
        <v>19265117.620000001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496473.66</v>
      </c>
      <c r="E60" s="201">
        <v>18060240.16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118632.24</v>
      </c>
      <c r="E62" s="209">
        <v>4331112.9000000004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view="pageBreakPreview" zoomScaleNormal="100" zoomScaleSheetLayoutView="100" workbookViewId="0">
      <selection activeCell="E7" sqref="E7:F50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45201</v>
      </c>
      <c r="G1" s="169"/>
    </row>
    <row r="2" spans="1:8" x14ac:dyDescent="0.25">
      <c r="A2" s="173"/>
      <c r="B2" s="176" t="s">
        <v>186</v>
      </c>
      <c r="C2" s="182" t="str">
        <f>'Werteliste-BIENE'!$C$2</f>
        <v>Berlin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tr">
        <f>'Werteliste-BIENE'!$C$3</f>
        <v>September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tr">
        <f>'Werteliste-BIENE'!$C$4</f>
        <v>2023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-81235495.5</v>
      </c>
      <c r="F9" s="491">
        <v>-631820164.86999989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0</v>
      </c>
      <c r="F10" s="491">
        <v>-23672530.279999997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515653.30000000005</v>
      </c>
      <c r="F11" s="491">
        <v>4653835.66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0</v>
      </c>
      <c r="F13" s="495">
        <v>-440154847.47775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142281.92000000001</v>
      </c>
      <c r="F14" s="491">
        <v>1492835.2200000002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283475.78999999998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160191.73500000002</v>
      </c>
      <c r="F18" s="491">
        <v>26218612.480000004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-2046221.09</v>
      </c>
      <c r="F19" s="495">
        <v>-9573665.5600000005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0</v>
      </c>
      <c r="F20" s="495">
        <v>34193443.669429876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0</v>
      </c>
      <c r="F23" s="495">
        <v>-45642865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23339775.109999999</v>
      </c>
      <c r="F24" s="499">
        <v>-219905796.24000001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43771502.216196351</v>
      </c>
      <c r="F25" s="491">
        <v>275387919.35666382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134177451.04583043</v>
      </c>
      <c r="F26" s="491">
        <v>1211754154.8240366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71532334.800000012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2242673.1646431983</v>
      </c>
      <c r="F28" s="495">
        <v>28353683.13592349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0</v>
      </c>
      <c r="F29" s="491">
        <v>139256892.66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0</v>
      </c>
      <c r="F30" s="491">
        <v>57692141.240000002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0</v>
      </c>
      <c r="F31" s="495">
        <v>81564751.420000002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142639.49</v>
      </c>
      <c r="F36" s="491">
        <v>1430541.66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11159.2</v>
      </c>
      <c r="F38" s="491">
        <v>232352.86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4328025.0599999996</v>
      </c>
      <c r="F39" s="491">
        <v>14706899.379999999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200547.51</v>
      </c>
      <c r="F41" s="491">
        <v>1083372.3899999999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116506.4</v>
      </c>
      <c r="F43" s="510">
        <v>2466311.64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1758545.5</v>
      </c>
      <c r="F44" s="491">
        <v>18275641.77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359761.99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1188189.1399999999</v>
      </c>
      <c r="F46" s="491">
        <v>9775748.1900000013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Bohm, Christian</cp:lastModifiedBy>
  <cp:lastPrinted>2023-10-02T07:44:23Z</cp:lastPrinted>
  <dcterms:created xsi:type="dcterms:W3CDTF">2019-08-21T09:16:07Z</dcterms:created>
  <dcterms:modified xsi:type="dcterms:W3CDTF">2023-10-02T08:00:59Z</dcterms:modified>
</cp:coreProperties>
</file>